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<sst xmlns="http://schemas.openxmlformats.org/spreadsheetml/2006/main" count="38" uniqueCount="38">
  <si>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</si>
  <si>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</si>
  <si>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</si>
  <si>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</si>
  <si>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</si>
  <si>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</si>
  <si>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</si>
  <si>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</si>
  <si>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</si>
  <si>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</si>
  <si>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</si>
  <si>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</si>
  <si>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</si>
  <si>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</si>
  <si>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</si>
  <si>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</si>
  <si>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</si>
  <si>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</si>
  <si>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</si>
  <si>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</si>
  <si>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</si>
  <si>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</si>
  <si>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</si>
  <si>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</si>
  <si>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</si>
  <si>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</si>
  <si>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</si>
  <si>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</si>
  <si>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402,00 - замена крана шарового д-15 мм (сбросник).                                                                       2042,00 - ремонт трубопровода ГВС (стояк).</t>
  </si>
  <si>
    <t>2143,00 - прочистка вентканалов (кв.70,56).             1203,00 - ремонт трубопровода ХВС (кв.18-22 стояк).                                                                          1100,00 - ремонт трубопровода ХВС (кв. 291 стояк).                                                                          1014,00 - замена крана шарового отопления (1 подъезд подвал).                                                                 1483,00 - замена клапана спускного автомат. (стояк ГВС воздухоотводчика).                                     699,00 - замена однополюсного автомата (2 подъезд).                                                                     1528,00 - замена двери (выход на кровлю).            1210,00 - прочистка вентканалов (кв.242).</t>
  </si>
  <si>
    <t>3152,00 - ремонт системы ХВС с заменой крана шарового, муфт (подвал).                                   1398,00 - установка светильника с датчиком движения.</t>
  </si>
  <si>
    <t>1624,00 - замена автом. выключателей двухполюсных (2,4 подъезд).</t>
  </si>
  <si>
    <t>3835,00 - ремонт трубопровода ХВС (кв. 323, подвал).                                                                          1106,00 - ремонт трубопровода ХВС (кв. 117-121 стояк).</t>
  </si>
  <si>
    <t>943,00 - ремонт трубопровода ГВС (кв.78).                2873,00 - ремонт трубопровода  ХВС (10 подъезд подвал).                                                             8736,00 - ремонт трубопровода канализации (кв. 142).                                                                          4068,00 - ремонт трубопровода ХВС (кв. 253,257,261).</t>
  </si>
  <si>
    <t>1359,00 - ремонт трубопровода ХВС (9 подъезд).                                                                          6385,00 - ремонт системы ХВС с заменой трубы, кранов шаровых (4 подъезд подвал).</t>
  </si>
  <si>
    <t xml:space="preserve">4338,00 - ремонт кровли (кв. 248 балкон).                            41498,00 - ремонт кровли (кв. 319).                                 1977,00 - ремонт двери выхода на крышу с установкой петель и замка (10 подъезд).                        600,00 - ремонт трубопровода канализации (2 подъезд подвал).                                                                           7476,00 - ремонт трубопровода канализации (2, подъезд подвал), замена труб и кранов шаровых (розлив 1 подъезд ввод в теплосеть).       29587,00 - подготовка проектной документации,замена водоподогревательной установки.                  </t>
  </si>
  <si>
    <t>5264,00 - ремонт трубопровода канализации (кв. 285).                                                                           3788,00 - ремонт трубопровода канализации (кв. 350).                                                                                           2213,00 - ремонт трубопровода  ХВС (кв. 342,346,350).                                                                    6798,00 - ремонт системы отопления с заменой трубы ст. (2 подъезд).                                                5932,60 - дезинсекция от муравьев в подвале.             5600,00 - дезинсекция от муравьев на чердаке.</t>
  </si>
  <si>
    <t>7763,00  - ремонт трубопровода ХВС, ГВС  (кв. 232,236 стояк).                                                                    32500,00 - замена кранов шаровых д-80 мм.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</si>
</sst>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A29">
            <v>30300</v>
          </cell>
          <cell r="AB29">
            <v>51392</v>
          </cell>
          <cell r="AC29">
            <v>-417.43999999999505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0</v>
          </cell>
          <cell r="W30">
            <v>1588</v>
          </cell>
          <cell r="Y30">
            <v>1620</v>
          </cell>
          <cell r="Z30">
            <v>1667</v>
          </cell>
          <cell r="AB30">
            <v>78781</v>
          </cell>
          <cell r="AD30">
            <v>83656</v>
          </cell>
          <cell r="AE30">
            <v>77585.23999999999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R34">
            <v>2379</v>
          </cell>
          <cell r="AD34">
            <v>2379</v>
          </cell>
          <cell r="AE34">
            <v>98056.32999999999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3383</v>
          </cell>
          <cell r="Y84">
            <v>2975</v>
          </cell>
          <cell r="AD84">
            <v>10572</v>
          </cell>
          <cell r="AE84">
            <v>487469.82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36983</v>
          </cell>
          <cell r="AB94">
            <v>1495</v>
          </cell>
          <cell r="AD94">
            <v>214146.6</v>
          </cell>
          <cell r="AE94">
            <v>1015513.2000000001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A95">
            <v>2745</v>
          </cell>
          <cell r="AC95">
            <v>44206</v>
          </cell>
          <cell r="AD95">
            <v>676553</v>
          </cell>
          <cell r="AE95">
            <v>1011370.1599999999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E22" sqref="E22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707</v>
      </c>
      <c r="B1" s="25"/>
      <c r="C1" s="25"/>
      <c r="D1" s="25"/>
      <c r="E1" s="25"/>
    </row>
    <row r="2" spans="1:5" ht="41.25" customHeight="1">
      <c r="A2" s="27" t="s">
        <v>26</v>
      </c>
      <c r="B2" s="28"/>
      <c r="C2" s="28"/>
      <c r="D2" s="28"/>
      <c r="E2" s="28"/>
    </row>
    <row r="3" spans="1:5" ht="36.75" customHeight="1">
      <c r="A3" s="26" t="str">
        <f>VLOOKUP(A1,'[1]2021'!$A$1:$AH$99,2,0)</f>
        <v>ул.Харьковская д.22</v>
      </c>
      <c r="B3" s="26"/>
      <c r="C3" s="26"/>
      <c r="D3" s="26"/>
      <c r="E3" s="26"/>
    </row>
    <row r="4" spans="1:5" ht="30.75" customHeight="1">
      <c r="A4" s="29" t="s">
        <v>20</v>
      </c>
      <c r="B4" s="29"/>
      <c r="C4" s="29"/>
      <c r="D4" s="29"/>
      <c r="E4" s="14" t="s">
        <v>18</v>
      </c>
    </row>
    <row r="5" spans="1:5" ht="15.75" customHeight="1">
      <c r="A5" s="30" t="s">
        <v>21</v>
      </c>
      <c r="B5" s="30"/>
      <c r="C5" s="30"/>
      <c r="D5" s="30"/>
      <c r="E5" s="15" t="s">
        <v>22</v>
      </c>
    </row>
    <row r="6" spans="1:5" ht="15" customHeight="1">
      <c r="A6" s="22" t="s">
        <v>17</v>
      </c>
      <c r="B6" s="22"/>
      <c r="C6" s="22"/>
      <c r="D6" s="22"/>
      <c r="E6" s="16">
        <f>VLOOKUP(A1,'[1]2021'!$A$1:$AH$101,3,0)</f>
        <v>18825.56</v>
      </c>
    </row>
    <row r="7" spans="1:5" ht="33" customHeight="1">
      <c r="A7" s="22" t="s">
        <v>27</v>
      </c>
      <c r="B7" s="22"/>
      <c r="C7" s="22"/>
      <c r="D7" s="22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0" t="s">
        <v>24</v>
      </c>
      <c r="B10" s="21"/>
      <c r="C10" s="21"/>
      <c r="D10" s="21"/>
      <c r="E10" s="18">
        <f>VLOOKUP(A1,'[1]2021'!$A$1:$AH$101,4,0)</f>
        <v>730390.3000000003</v>
      </c>
    </row>
    <row r="11" spans="1:5" ht="47.25">
      <c r="A11" s="3">
        <v>1</v>
      </c>
      <c r="B11" s="9" t="s">
        <v>4</v>
      </c>
      <c r="C11" s="5">
        <f>VLOOKUP(A1,'[1]2021'!$A$1:$AH$101,5,0)</f>
        <v>45820.24</v>
      </c>
      <c r="D11" s="5">
        <f>VLOOKUP(A1,'[1]2021'!$A$1:$AH$101,18,0)</f>
        <v>2464</v>
      </c>
      <c r="E11" s="7" t="s">
        <v>28</v>
      </c>
    </row>
    <row r="12" spans="1:5" ht="15.75">
      <c r="A12" s="3">
        <v>2</v>
      </c>
      <c r="B12" s="9" t="s">
        <v>5</v>
      </c>
      <c r="C12" s="5">
        <f>VLOOKUP(A1,'[1]2021'!$A$1:$AH$101,6,0)</f>
        <v>45301.5</v>
      </c>
      <c r="D12" s="5">
        <f>VLOOKUP(A1,'[1]2021'!$A$1:$AH$101,19,0)</f>
        <v>0</v>
      </c>
      <c r="E12" s="7"/>
    </row>
    <row r="13" spans="1:5" ht="204.75">
      <c r="A13" s="3">
        <v>3</v>
      </c>
      <c r="B13" s="9" t="s">
        <v>6</v>
      </c>
      <c r="C13" s="5">
        <f>VLOOKUP(A1,'[1]2021'!$A$1:$AH$101,7,0)</f>
        <v>51394.91</v>
      </c>
      <c r="D13" s="5">
        <f>VLOOKUP(A1,'[1]2021'!$A$1:$AH$101,20,0)</f>
        <v>10380</v>
      </c>
      <c r="E13" s="7" t="s">
        <v>29</v>
      </c>
    </row>
    <row r="14" spans="1:5" ht="63">
      <c r="A14" s="3">
        <v>4</v>
      </c>
      <c r="B14" s="9" t="s">
        <v>7</v>
      </c>
      <c r="C14" s="5">
        <f>VLOOKUP(A1,'[1]2021'!$A$1:$AH$101,8,0)</f>
        <v>54013.3</v>
      </c>
      <c r="D14" s="5">
        <f>VLOOKUP(A1,'[1]2021'!$A$1:$AH$101,21,0)</f>
        <v>4550</v>
      </c>
      <c r="E14" s="7" t="s">
        <v>30</v>
      </c>
    </row>
    <row r="15" spans="1:5" ht="31.5">
      <c r="A15" s="3">
        <v>5</v>
      </c>
      <c r="B15" s="9" t="s">
        <v>8</v>
      </c>
      <c r="C15" s="5">
        <f>VLOOKUP(A1,'[1]2021'!$A$1:$AH$101,9,0)</f>
        <v>52645.1</v>
      </c>
      <c r="D15" s="5">
        <f>VLOOKUP(A1,'[1]2021'!$A$1:$AH$101,22,0)</f>
        <v>1624</v>
      </c>
      <c r="E15" s="7" t="s">
        <v>31</v>
      </c>
    </row>
    <row r="16" spans="1:5" ht="63">
      <c r="A16" s="3">
        <v>6</v>
      </c>
      <c r="B16" s="9" t="s">
        <v>9</v>
      </c>
      <c r="C16" s="5">
        <f>VLOOKUP(A1,'[1]2021'!$A$1:$AH$101,10,0)</f>
        <v>54395.12</v>
      </c>
      <c r="D16" s="5">
        <f>VLOOKUP(A1,'[1]2021'!$A$1:$AH$101,23,0)</f>
        <v>4941</v>
      </c>
      <c r="E16" s="7" t="s">
        <v>32</v>
      </c>
    </row>
    <row r="17" spans="1:5" ht="110.25">
      <c r="A17" s="3">
        <v>7</v>
      </c>
      <c r="B17" s="9" t="s">
        <v>10</v>
      </c>
      <c r="C17" s="5">
        <f>VLOOKUP(A1,'[1]2021'!$A$1:$AH$101,11,0)</f>
        <v>54131.6</v>
      </c>
      <c r="D17" s="5">
        <f>VLOOKUP(A1,'[1]2021'!$A$1:$AH$101,24,0)</f>
        <v>22552.6</v>
      </c>
      <c r="E17" s="7" t="s">
        <v>33</v>
      </c>
    </row>
    <row r="18" spans="1:5" ht="15.75">
      <c r="A18" s="3">
        <v>8</v>
      </c>
      <c r="B18" s="9" t="s">
        <v>11</v>
      </c>
      <c r="C18" s="5">
        <f>VLOOKUP(A1,'[1]2021'!$A$1:$AH$101,12,0)</f>
        <v>45670.31</v>
      </c>
      <c r="D18" s="5">
        <f>VLOOKUP(A1,'[1]2021'!$A$1:$AH$102,25,0)</f>
        <v>0</v>
      </c>
      <c r="E18" s="7"/>
    </row>
    <row r="19" spans="1:5" ht="63">
      <c r="A19" s="3">
        <v>9</v>
      </c>
      <c r="B19" s="9" t="s">
        <v>12</v>
      </c>
      <c r="C19" s="5">
        <f>VLOOKUP(A1,'[1]2021'!$A$1:$AH$101,13,0)</f>
        <v>52949.05</v>
      </c>
      <c r="D19" s="5">
        <f>VLOOKUP(A1,'[1]2021'!$A$1:$AH$101,26,0)</f>
        <v>7744</v>
      </c>
      <c r="E19" s="7" t="s">
        <v>34</v>
      </c>
    </row>
    <row r="20" spans="1:5" ht="174" customHeight="1">
      <c r="A20" s="3">
        <v>10</v>
      </c>
      <c r="B20" s="9" t="s">
        <v>13</v>
      </c>
      <c r="C20" s="5">
        <f>VLOOKUP(A1,'[1]2021'!$A$1:$AH$101,14,0)</f>
        <v>60498.15</v>
      </c>
      <c r="D20" s="5">
        <f>VLOOKUP(A1,'[1]2021'!$A$1:$AH$101,27,0)</f>
        <v>85476</v>
      </c>
      <c r="E20" s="7" t="s">
        <v>35</v>
      </c>
    </row>
    <row r="21" spans="1:5" ht="157.5" customHeight="1">
      <c r="A21" s="3">
        <v>11</v>
      </c>
      <c r="B21" s="9" t="s">
        <v>14</v>
      </c>
      <c r="C21" s="5">
        <f>VLOOKUP(A1,'[1]2021'!$A$1:$AH$101,15,0)</f>
        <v>54205.21</v>
      </c>
      <c r="D21" s="5">
        <f>VLOOKUP(A1,'[1]2021'!$A$1:$AH$101,28,0)</f>
        <v>29595.6</v>
      </c>
      <c r="E21" s="7" t="s">
        <v>36</v>
      </c>
    </row>
    <row r="22" spans="1:5" ht="47.25">
      <c r="A22" s="3">
        <v>12</v>
      </c>
      <c r="B22" s="9" t="s">
        <v>15</v>
      </c>
      <c r="C22" s="5">
        <f>VLOOKUP(A1,'[1]2021'!$A$1:$AH$101,16,0)</f>
        <v>64035.83</v>
      </c>
      <c r="D22" s="5">
        <f>VLOOKUP(A1,'[1]2021'!$A$1:$AH$101,29,0)</f>
        <v>40263</v>
      </c>
      <c r="E22" s="7" t="s">
        <v>37</v>
      </c>
    </row>
    <row r="23" spans="1:5" ht="15.75">
      <c r="A23" s="23" t="s">
        <v>16</v>
      </c>
      <c r="B23" s="24"/>
      <c r="C23" s="6">
        <f>SUM(C11:C22)</f>
        <v>635060.32</v>
      </c>
      <c r="D23" s="6">
        <f>SUM(D11:D22)</f>
        <v>209590.2</v>
      </c>
      <c r="E23" s="8"/>
    </row>
    <row r="24" spans="1:5" ht="15.75">
      <c r="A24" s="20" t="s">
        <v>25</v>
      </c>
      <c r="B24" s="21"/>
      <c r="C24" s="21"/>
      <c r="D24" s="21"/>
      <c r="E24" s="13">
        <f>E10+C23-D23</f>
        <v>1155860.4200000002</v>
      </c>
    </row>
    <row r="28" spans="1:5" ht="18.75">
      <c r="A28" s="19" t="s">
        <v>19</v>
      </c>
      <c r="B28" s="19"/>
      <c r="C28" s="19"/>
      <c r="D28" s="19"/>
      <c r="E28" s="19"/>
    </row>
    <row r="29" spans="1:5" ht="18.75">
      <c r="A29" s="4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19"/>
      <c r="B31" s="19"/>
      <c r="C31" s="19"/>
      <c r="D31" s="19"/>
      <c r="E31" s="19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2022-02-10T10:12:48Z</dcterms:modified>
  <cp:category/>
  <cp:version/>
  <cp:contentType/>
  <cp:contentStatus/>
</cp:coreProperties>
</file>